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64011"/>
  <mc:AlternateContent xmlns:mc="http://schemas.openxmlformats.org/markup-compatibility/2006">
    <mc:Choice Requires="x15">
      <x15ac:absPath xmlns:x15ac="http://schemas.microsoft.com/office/spreadsheetml/2010/11/ac" url="D:\R3.10\"/>
    </mc:Choice>
  </mc:AlternateContent>
  <bookViews>
    <workbookView xWindow="0" yWindow="0" windowWidth="9384" windowHeight="6492" tabRatio="500" activeTab="1"/>
  </bookViews>
  <sheets>
    <sheet name="CoCoMo" sheetId="1" r:id="rId1"/>
    <sheet name="Synthèse" sheetId="2" r:id="rId2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4" i="2" l="1"/>
  <c r="J12" i="2"/>
  <c r="J11" i="2"/>
  <c r="J10" i="2"/>
  <c r="J9" i="2"/>
  <c r="B5" i="2"/>
  <c r="C4" i="2" s="1"/>
  <c r="F4" i="2" s="1"/>
  <c r="G4" i="2" s="1"/>
  <c r="D4" i="2"/>
  <c r="E4" i="2" s="1"/>
  <c r="D3" i="2"/>
  <c r="E3" i="2" s="1"/>
  <c r="D2" i="2"/>
  <c r="E2" i="2" s="1"/>
  <c r="G29" i="1"/>
  <c r="F29" i="1"/>
  <c r="E29" i="1"/>
  <c r="D29" i="1"/>
  <c r="C29" i="1"/>
  <c r="G23" i="1"/>
  <c r="F23" i="1"/>
  <c r="E23" i="1"/>
  <c r="D23" i="1"/>
  <c r="C23" i="1"/>
  <c r="F17" i="1"/>
  <c r="E17" i="1"/>
  <c r="D17" i="1"/>
  <c r="C17" i="1"/>
  <c r="I15" i="2" l="1"/>
  <c r="J15" i="2" s="1"/>
  <c r="C2" i="2"/>
  <c r="F2" i="2" s="1"/>
  <c r="G2" i="2" s="1"/>
  <c r="E5" i="2"/>
  <c r="J2" i="2"/>
  <c r="D5" i="2"/>
  <c r="C3" i="2"/>
  <c r="F3" i="2" s="1"/>
  <c r="G3" i="2" s="1"/>
  <c r="J3" i="2"/>
  <c r="C10" i="2" l="1"/>
  <c r="E10" i="2"/>
  <c r="C13" i="2"/>
  <c r="C11" i="2"/>
  <c r="E13" i="2"/>
  <c r="K15" i="2"/>
  <c r="E8" i="2"/>
  <c r="C12" i="2"/>
  <c r="C9" i="2"/>
  <c r="E9" i="2"/>
  <c r="C8" i="2"/>
  <c r="F5" i="2"/>
  <c r="J4" i="2"/>
  <c r="D11" i="2" l="1"/>
  <c r="D10" i="2"/>
  <c r="D13" i="2"/>
  <c r="D9" i="2"/>
  <c r="G5" i="2"/>
  <c r="F9" i="2" s="1"/>
  <c r="D8" i="2"/>
  <c r="D16" i="2" s="1"/>
  <c r="D12" i="2"/>
  <c r="F13" i="2" l="1"/>
  <c r="G13" i="2" s="1"/>
  <c r="F8" i="2"/>
  <c r="G8" i="2" s="1"/>
  <c r="D15" i="2"/>
  <c r="D17" i="2" s="1"/>
  <c r="F10" i="2"/>
  <c r="G10" i="2" s="1"/>
  <c r="G9" i="2"/>
  <c r="F16" i="2" l="1"/>
  <c r="F15" i="2"/>
  <c r="F17" i="2" l="1"/>
</calcChain>
</file>

<file path=xl/sharedStrings.xml><?xml version="1.0" encoding="utf-8"?>
<sst xmlns="http://schemas.openxmlformats.org/spreadsheetml/2006/main" count="104" uniqueCount="64">
  <si>
    <t>Coefficients de calcul de ...</t>
  </si>
  <si>
    <t>L'effort</t>
  </si>
  <si>
    <t>La durée</t>
  </si>
  <si>
    <t>Mode</t>
  </si>
  <si>
    <t>a</t>
  </si>
  <si>
    <t>b</t>
  </si>
  <si>
    <t>c</t>
  </si>
  <si>
    <t>Distribution de l'effort et du temps sur les phases du projet</t>
  </si>
  <si>
    <t>Taille du projet</t>
  </si>
  <si>
    <t>Distribution de l'effort</t>
  </si>
  <si>
    <t>petit</t>
  </si>
  <si>
    <t>inter médiaire</t>
  </si>
  <si>
    <t>moyen</t>
  </si>
  <si>
    <t>grand</t>
  </si>
  <si>
    <t>très grand</t>
  </si>
  <si>
    <t>Phase</t>
  </si>
  <si>
    <t>S</t>
  </si>
  <si>
    <t>  Spécification et planification</t>
  </si>
  <si>
    <t>Conception générale</t>
  </si>
  <si>
    <t>Programmation</t>
  </si>
  <si>
    <t>  Conception détaillée</t>
  </si>
  <si>
    <t>  Codage et tests unitaires</t>
  </si>
  <si>
    <t>Intégration et tests</t>
  </si>
  <si>
    <t>P</t>
  </si>
  <si>
    <t>E</t>
  </si>
  <si>
    <t>Distribution du temps</t>
  </si>
  <si>
    <t>Spécification et planification</t>
  </si>
  <si>
    <t>Composante</t>
  </si>
  <si>
    <t>Taille</t>
  </si>
  <si>
    <t>Poids</t>
  </si>
  <si>
    <t>Effort restant</t>
  </si>
  <si>
    <t>Durée restante</t>
  </si>
  <si>
    <t>Effort pondéré restant</t>
  </si>
  <si>
    <t>Durée pondérée restante</t>
  </si>
  <si>
    <t>Simple</t>
  </si>
  <si>
    <t>Taille inférieure</t>
  </si>
  <si>
    <t>Moyennt complexe</t>
  </si>
  <si>
    <t>Taille supérieure</t>
  </si>
  <si>
    <t>Complexe</t>
  </si>
  <si>
    <t>Taille plus proche</t>
  </si>
  <si>
    <t>Total</t>
  </si>
  <si>
    <t>Effort</t>
  </si>
  <si>
    <t>Distribution de la durée</t>
  </si>
  <si>
    <t>Durée</t>
  </si>
  <si>
    <t>Effectif</t>
  </si>
  <si>
    <t>Taille CoCoMo</t>
  </si>
  <si>
    <t>Col. Coef.</t>
  </si>
  <si>
    <t>Modèle CoCoMo</t>
  </si>
  <si>
    <t xml:space="preserve">   Spécification et planification</t>
  </si>
  <si>
    <t>Petit</t>
  </si>
  <si>
    <t>Intermédiaire</t>
  </si>
  <si>
    <t>Moyen</t>
  </si>
  <si>
    <t xml:space="preserve"> . Conception détaillée</t>
  </si>
  <si>
    <t>Grand</t>
  </si>
  <si>
    <t xml:space="preserve"> . Codage et tests unitaires</t>
  </si>
  <si>
    <t>Très grand</t>
  </si>
  <si>
    <t>Taille projet</t>
  </si>
  <si>
    <t xml:space="preserve">  total</t>
  </si>
  <si>
    <t>- spécification et planification</t>
  </si>
  <si>
    <t>= restant</t>
  </si>
  <si>
    <t>Calcul de l'effort et de la durée</t>
  </si>
  <si>
    <t>S : organique</t>
  </si>
  <si>
    <t>P : semi-détaché</t>
  </si>
  <si>
    <t>E : intégré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</si>
</sst>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0&quot; KLSD&quot;"/>
    <numFmt numFmtId="165" formatCode="0&quot;    &quot;"/>
    <numFmt numFmtId="166" formatCode="&quot;    &quot;0"/>
    <numFmt numFmtId="167" formatCode="0&quot; KLS&quot;"/>
    <numFmt numFmtId="168" formatCode="0.0%"/>
    <numFmt numFmtId="169" formatCode="0.0&quot; HM&quot;"/>
    <numFmt numFmtId="170" formatCode="0.0&quot; M&quot;"/>
    <numFmt numFmtId="171" formatCode="&quot;&gt;=&quot;0&quot; HM&quot;"/>
    <numFmt numFmtId="172" formatCode="&quot;&gt;=&quot;0.0&quot; M&quot;"/>
    <numFmt numFmtId="173" formatCode="\=0&quot; HM&quot;"/>
    <numFmt numFmtId="174" formatCode="\=0&quot; M&quot;"/>
    <numFmt numFmtId="175" formatCode="0&quot; HM&quot;"/>
    <numFmt numFmtId="176" formatCode="0&quot; M&quot;"/>
    <numFmt numFmtId="177" formatCode="0\%"/>
    <numFmt numFmtId="178" formatCode="0.0&quot; H&quot;"/>
    <numFmt numFmtId="179" formatCode="0&quot;%  &quot;"/>
    <numFmt numFmtId="180" formatCode="0.0&quot; HM  &quot;"/>
    <numFmt numFmtId="181" formatCode="0.0&quot; M  &quot;"/>
    <numFmt numFmtId="182" formatCode="0.0&quot; H  &quot;"/>
    <numFmt numFmtId="183" formatCode="&quot;&quot;"/>
  </numFmts>
  <fonts count="9">
    <font>
      <sz val="10"/>
      <name val="Geneva"/>
    </font>
    <font>
      <sz val="10"/>
      <name val="Arial"/>
      <family val="2"/>
    </font>
    <font>
      <sz val="9"/>
      <name val="Arial"/>
      <family val="2"/>
    </font>
    <font>
      <sz val="9"/>
      <name val="Geneva"/>
    </font>
    <font>
      <b/>
      <sz val="10"/>
      <name val="Geneva"/>
    </font>
    <font>
      <i/>
      <sz val="10"/>
      <name val="Geneva"/>
    </font>
    <font>
      <sz val="8"/>
      <name val="Geneva"/>
    </font>
    <font>
      <i/>
      <sz val="8"/>
      <name val="Geneva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 diagonalUp="1" diagonalDown="1">
      <left style="thin">
        <color auto="1"/>
      </left>
      <right style="thin">
        <color auto="1"/>
      </right>
      <top/>
      <bottom/>
      <diagonal style="hair">
        <color auto="1"/>
      </diagonal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0" xfId="1" applyFont="1" applyAlignment="1">
      <alignment horizontal="left" vertical="center"/>
    </xf>
    <xf numFmtId="0" fontId="2" fillId="0" borderId="5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165" fontId="2" fillId="0" borderId="10" xfId="1" applyNumberFormat="1" applyFont="1" applyBorder="1" applyAlignment="1">
      <alignment horizontal="right"/>
    </xf>
    <xf numFmtId="165" fontId="2" fillId="0" borderId="11" xfId="1" applyNumberFormat="1" applyFont="1" applyBorder="1" applyAlignment="1">
      <alignment horizontal="right"/>
    </xf>
    <xf numFmtId="0" fontId="2" fillId="0" borderId="0" xfId="1" applyFont="1" applyBorder="1" applyAlignment="1">
      <alignment horizontal="left"/>
    </xf>
    <xf numFmtId="166" fontId="2" fillId="0" borderId="8" xfId="1" applyNumberFormat="1" applyFont="1" applyBorder="1" applyAlignment="1">
      <alignment horizontal="left"/>
    </xf>
    <xf numFmtId="166" fontId="2" fillId="0" borderId="9" xfId="1" applyNumberFormat="1" applyFont="1" applyBorder="1" applyAlignment="1">
      <alignment horizontal="left"/>
    </xf>
    <xf numFmtId="165" fontId="2" fillId="0" borderId="8" xfId="1" applyNumberFormat="1" applyFont="1" applyBorder="1" applyAlignment="1">
      <alignment horizontal="right"/>
    </xf>
    <xf numFmtId="165" fontId="2" fillId="0" borderId="9" xfId="1" applyNumberFormat="1" applyFont="1" applyBorder="1" applyAlignment="1">
      <alignment horizontal="right"/>
    </xf>
    <xf numFmtId="166" fontId="2" fillId="0" borderId="0" xfId="1" applyNumberFormat="1" applyFont="1" applyBorder="1" applyAlignment="1">
      <alignment horizontal="left"/>
    </xf>
    <xf numFmtId="0" fontId="2" fillId="0" borderId="7" xfId="1" applyFont="1" applyBorder="1" applyAlignment="1">
      <alignment horizontal="left" vertical="top"/>
    </xf>
    <xf numFmtId="0" fontId="2" fillId="0" borderId="0" xfId="1" applyFont="1" applyBorder="1" applyAlignment="1">
      <alignment horizontal="left" vertical="top"/>
    </xf>
    <xf numFmtId="166" fontId="2" fillId="0" borderId="8" xfId="1" applyNumberFormat="1" applyFont="1" applyBorder="1" applyAlignment="1">
      <alignment horizontal="left" vertical="top"/>
    </xf>
    <xf numFmtId="166" fontId="2" fillId="0" borderId="9" xfId="1" applyNumberFormat="1" applyFont="1" applyBorder="1" applyAlignment="1">
      <alignment horizontal="left" vertical="top"/>
    </xf>
    <xf numFmtId="0" fontId="2" fillId="0" borderId="10" xfId="1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  <xf numFmtId="0" fontId="2" fillId="0" borderId="12" xfId="1" applyFont="1" applyBorder="1" applyAlignment="1">
      <alignment horizontal="left"/>
    </xf>
    <xf numFmtId="0" fontId="2" fillId="0" borderId="13" xfId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164" fontId="2" fillId="0" borderId="15" xfId="1" applyNumberFormat="1" applyFont="1" applyBorder="1" applyAlignment="1">
      <alignment horizontal="center"/>
    </xf>
    <xf numFmtId="0" fontId="2" fillId="0" borderId="13" xfId="1" applyFont="1" applyBorder="1" applyAlignment="1">
      <alignment horizontal="left"/>
    </xf>
    <xf numFmtId="166" fontId="2" fillId="0" borderId="14" xfId="1" applyNumberFormat="1" applyFont="1" applyBorder="1" applyAlignment="1">
      <alignment horizontal="left"/>
    </xf>
    <xf numFmtId="166" fontId="2" fillId="0" borderId="15" xfId="1" applyNumberFormat="1" applyFont="1" applyBorder="1" applyAlignment="1">
      <alignment horizontal="left"/>
    </xf>
    <xf numFmtId="0" fontId="0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Protection="1">
      <protection hidden="1"/>
    </xf>
    <xf numFmtId="167" fontId="0" fillId="0" borderId="3" xfId="0" applyNumberFormat="1" applyFont="1" applyBorder="1" applyProtection="1">
      <protection locked="0"/>
    </xf>
    <xf numFmtId="168" fontId="0" fillId="0" borderId="3" xfId="0" applyNumberFormat="1" applyFont="1" applyBorder="1" applyProtection="1">
      <protection hidden="1"/>
    </xf>
    <xf numFmtId="169" fontId="0" fillId="0" borderId="16" xfId="0" applyNumberFormat="1" applyFont="1" applyBorder="1" applyProtection="1">
      <protection hidden="1"/>
    </xf>
    <xf numFmtId="170" fontId="0" fillId="0" borderId="16" xfId="0" applyNumberFormat="1" applyFont="1" applyBorder="1" applyProtection="1">
      <protection hidden="1"/>
    </xf>
    <xf numFmtId="169" fontId="0" fillId="0" borderId="3" xfId="0" applyNumberFormat="1" applyFont="1" applyBorder="1" applyProtection="1">
      <protection hidden="1"/>
    </xf>
    <xf numFmtId="170" fontId="0" fillId="0" borderId="3" xfId="0" applyNumberFormat="1" applyFont="1" applyBorder="1" applyProtection="1">
      <protection hidden="1"/>
    </xf>
    <xf numFmtId="167" fontId="0" fillId="0" borderId="0" xfId="0" applyNumberFormat="1" applyFont="1" applyBorder="1" applyProtection="1">
      <protection hidden="1"/>
    </xf>
    <xf numFmtId="169" fontId="0" fillId="0" borderId="17" xfId="0" applyNumberFormat="1" applyFont="1" applyBorder="1" applyProtection="1">
      <protection hidden="1"/>
    </xf>
    <xf numFmtId="170" fontId="0" fillId="0" borderId="17" xfId="0" applyNumberFormat="1" applyFont="1" applyBorder="1" applyProtection="1">
      <protection hidden="1"/>
    </xf>
    <xf numFmtId="0" fontId="0" fillId="0" borderId="4" xfId="0" applyFont="1" applyBorder="1" applyProtection="1">
      <protection hidden="1"/>
    </xf>
    <xf numFmtId="167" fontId="0" fillId="0" borderId="4" xfId="0" applyNumberFormat="1" applyFont="1" applyBorder="1" applyProtection="1">
      <protection locked="0"/>
    </xf>
    <xf numFmtId="168" fontId="0" fillId="0" borderId="4" xfId="0" applyNumberFormat="1" applyFont="1" applyBorder="1" applyProtection="1">
      <protection hidden="1"/>
    </xf>
    <xf numFmtId="169" fontId="0" fillId="0" borderId="18" xfId="0" applyNumberFormat="1" applyFont="1" applyBorder="1" applyProtection="1">
      <protection hidden="1"/>
    </xf>
    <xf numFmtId="170" fontId="0" fillId="0" borderId="18" xfId="0" applyNumberFormat="1" applyFont="1" applyBorder="1" applyProtection="1">
      <protection hidden="1"/>
    </xf>
    <xf numFmtId="169" fontId="0" fillId="0" borderId="4" xfId="0" applyNumberFormat="1" applyFont="1" applyBorder="1" applyProtection="1">
      <protection hidden="1"/>
    </xf>
    <xf numFmtId="170" fontId="0" fillId="0" borderId="4" xfId="0" applyNumberFormat="1" applyFont="1" applyBorder="1" applyProtection="1">
      <protection hidden="1"/>
    </xf>
    <xf numFmtId="0" fontId="4" fillId="0" borderId="1" xfId="0" applyFont="1" applyBorder="1" applyProtection="1">
      <protection hidden="1"/>
    </xf>
    <xf numFmtId="167" fontId="4" fillId="0" borderId="1" xfId="0" applyNumberFormat="1" applyFont="1" applyBorder="1" applyProtection="1">
      <protection hidden="1"/>
    </xf>
    <xf numFmtId="168" fontId="4" fillId="0" borderId="1" xfId="0" applyNumberFormat="1" applyFont="1" applyBorder="1" applyProtection="1">
      <protection hidden="1"/>
    </xf>
    <xf numFmtId="171" fontId="4" fillId="0" borderId="1" xfId="0" applyNumberFormat="1" applyFont="1" applyBorder="1" applyProtection="1">
      <protection hidden="1"/>
    </xf>
    <xf numFmtId="172" fontId="4" fillId="0" borderId="1" xfId="0" applyNumberFormat="1" applyFont="1" applyBorder="1" applyProtection="1">
      <protection hidden="1"/>
    </xf>
    <xf numFmtId="169" fontId="4" fillId="0" borderId="1" xfId="0" applyNumberFormat="1" applyFont="1" applyBorder="1" applyProtection="1">
      <protection hidden="1"/>
    </xf>
    <xf numFmtId="170" fontId="0" fillId="0" borderId="1" xfId="0" applyNumberFormat="1" applyFont="1" applyBorder="1" applyProtection="1">
      <protection hidden="1"/>
    </xf>
    <xf numFmtId="173" fontId="0" fillId="0" borderId="0" xfId="0" applyNumberFormat="1" applyFont="1" applyBorder="1" applyProtection="1">
      <protection hidden="1"/>
    </xf>
    <xf numFmtId="174" fontId="0" fillId="0" borderId="0" xfId="0" applyNumberFormat="1" applyFont="1" applyBorder="1" applyProtection="1">
      <protection hidden="1"/>
    </xf>
    <xf numFmtId="175" fontId="0" fillId="0" borderId="0" xfId="0" applyNumberFormat="1" applyFont="1" applyBorder="1" applyProtection="1">
      <protection hidden="1"/>
    </xf>
    <xf numFmtId="176" fontId="0" fillId="0" borderId="0" xfId="0" applyNumberFormat="1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5" fillId="0" borderId="19" xfId="0" applyFont="1" applyBorder="1" applyProtection="1">
      <protection hidden="1"/>
    </xf>
    <xf numFmtId="177" fontId="5" fillId="0" borderId="2" xfId="0" applyNumberFormat="1" applyFont="1" applyBorder="1" applyProtection="1">
      <protection hidden="1"/>
    </xf>
    <xf numFmtId="169" fontId="5" fillId="0" borderId="2" xfId="0" applyNumberFormat="1" applyFont="1" applyBorder="1" applyProtection="1">
      <protection hidden="1"/>
    </xf>
    <xf numFmtId="170" fontId="5" fillId="0" borderId="2" xfId="0" applyNumberFormat="1" applyFont="1" applyBorder="1" applyProtection="1">
      <protection hidden="1"/>
    </xf>
    <xf numFmtId="178" fontId="5" fillId="0" borderId="2" xfId="0" applyNumberFormat="1" applyFont="1" applyBorder="1" applyProtection="1">
      <protection hidden="1"/>
    </xf>
    <xf numFmtId="164" fontId="0" fillId="0" borderId="0" xfId="0" applyNumberFormat="1" applyFont="1" applyBorder="1" applyAlignment="1" applyProtection="1">
      <alignment horizontal="right"/>
      <protection hidden="1"/>
    </xf>
    <xf numFmtId="0" fontId="0" fillId="0" borderId="7" xfId="0" applyFont="1" applyBorder="1" applyProtection="1">
      <protection hidden="1"/>
    </xf>
    <xf numFmtId="0" fontId="0" fillId="0" borderId="20" xfId="0" applyFont="1" applyBorder="1" applyProtection="1">
      <protection hidden="1"/>
    </xf>
    <xf numFmtId="179" fontId="0" fillId="0" borderId="3" xfId="0" applyNumberFormat="1" applyFont="1" applyBorder="1" applyProtection="1">
      <protection hidden="1"/>
    </xf>
    <xf numFmtId="180" fontId="4" fillId="0" borderId="3" xfId="0" applyNumberFormat="1" applyFont="1" applyBorder="1" applyProtection="1">
      <protection hidden="1"/>
    </xf>
    <xf numFmtId="181" fontId="4" fillId="0" borderId="3" xfId="0" applyNumberFormat="1" applyFont="1" applyBorder="1" applyProtection="1">
      <protection hidden="1"/>
    </xf>
    <xf numFmtId="182" fontId="4" fillId="0" borderId="3" xfId="0" applyNumberFormat="1" applyFont="1" applyBorder="1" applyProtection="1">
      <protection hidden="1"/>
    </xf>
    <xf numFmtId="177" fontId="0" fillId="0" borderId="3" xfId="0" applyNumberFormat="1" applyFont="1" applyBorder="1" applyProtection="1">
      <protection hidden="1"/>
    </xf>
    <xf numFmtId="176" fontId="0" fillId="0" borderId="3" xfId="0" applyNumberFormat="1" applyFont="1" applyBorder="1" applyProtection="1">
      <protection hidden="1"/>
    </xf>
    <xf numFmtId="0" fontId="0" fillId="0" borderId="12" xfId="0" applyFont="1" applyBorder="1" applyProtection="1">
      <protection hidden="1"/>
    </xf>
    <xf numFmtId="0" fontId="0" fillId="0" borderId="21" xfId="0" applyFont="1" applyBorder="1" applyProtection="1">
      <protection hidden="1"/>
    </xf>
    <xf numFmtId="179" fontId="0" fillId="0" borderId="4" xfId="0" applyNumberFormat="1" applyFont="1" applyBorder="1" applyProtection="1">
      <protection hidden="1"/>
    </xf>
    <xf numFmtId="180" fontId="4" fillId="0" borderId="4" xfId="0" applyNumberFormat="1" applyFont="1" applyBorder="1" applyProtection="1">
      <protection hidden="1"/>
    </xf>
    <xf numFmtId="181" fontId="4" fillId="0" borderId="4" xfId="0" applyNumberFormat="1" applyFont="1" applyBorder="1" applyProtection="1">
      <protection hidden="1"/>
    </xf>
    <xf numFmtId="182" fontId="4" fillId="0" borderId="4" xfId="0" applyNumberFormat="1" applyFont="1" applyBorder="1" applyProtection="1">
      <protection hidden="1"/>
    </xf>
    <xf numFmtId="177" fontId="6" fillId="0" borderId="0" xfId="0" applyNumberFormat="1" applyFont="1" applyBorder="1" applyProtection="1">
      <protection hidden="1"/>
    </xf>
    <xf numFmtId="183" fontId="0" fillId="0" borderId="0" xfId="0" applyNumberFormat="1" applyFont="1" applyBorder="1" applyProtection="1">
      <protection hidden="1"/>
    </xf>
    <xf numFmtId="180" fontId="0" fillId="0" borderId="0" xfId="0" applyNumberFormat="1" applyFont="1" applyBorder="1" applyProtection="1">
      <protection hidden="1"/>
    </xf>
    <xf numFmtId="181" fontId="0" fillId="0" borderId="0" xfId="0" applyNumberFormat="1" applyFont="1" applyBorder="1" applyProtection="1">
      <protection hidden="1"/>
    </xf>
    <xf numFmtId="0" fontId="7" fillId="0" borderId="0" xfId="0" applyFont="1" applyBorder="1" applyProtection="1">
      <protection hidden="1"/>
    </xf>
    <xf numFmtId="180" fontId="7" fillId="0" borderId="0" xfId="0" applyNumberFormat="1" applyFont="1" applyBorder="1" applyProtection="1">
      <protection hidden="1"/>
    </xf>
    <xf numFmtId="181" fontId="7" fillId="0" borderId="0" xfId="0" applyNumberFormat="1" applyFont="1" applyBorder="1" applyProtection="1">
      <protection hidden="1"/>
    </xf>
    <xf numFmtId="0" fontId="7" fillId="0" borderId="6" xfId="0" applyFont="1" applyBorder="1" applyProtection="1">
      <protection hidden="1"/>
    </xf>
    <xf numFmtId="180" fontId="7" fillId="0" borderId="6" xfId="0" applyNumberFormat="1" applyFont="1" applyBorder="1" applyProtection="1">
      <protection hidden="1"/>
    </xf>
    <xf numFmtId="181" fontId="7" fillId="0" borderId="6" xfId="0" applyNumberFormat="1" applyFont="1" applyBorder="1" applyProtection="1">
      <protection hidden="1"/>
    </xf>
    <xf numFmtId="0" fontId="0" fillId="0" borderId="0" xfId="0" applyBorder="1"/>
    <xf numFmtId="0" fontId="2" fillId="0" borderId="22" xfId="1" applyFont="1" applyBorder="1" applyAlignment="1">
      <alignment horizontal="left" vertical="top"/>
    </xf>
    <xf numFmtId="166" fontId="2" fillId="0" borderId="22" xfId="1" applyNumberFormat="1" applyFont="1" applyBorder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2" fillId="0" borderId="19" xfId="1" applyFont="1" applyBorder="1" applyAlignment="1">
      <alignment horizontal="center"/>
    </xf>
    <xf numFmtId="0" fontId="8" fillId="0" borderId="5" xfId="1" applyFont="1" applyBorder="1" applyAlignment="1">
      <alignment horizontal="center" vertical="center"/>
    </xf>
    <xf numFmtId="0" fontId="0" fillId="0" borderId="0" xfId="0" applyProtection="1">
      <protection hidden="1"/>
    </xf>
  </cellXfs>
  <cellStyles count="2">
    <cellStyle name="Normal" xfId="0" builtinId="0"/>
    <cellStyle name="Texte explicatif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zoomScale="160" zoomScaleNormal="160" zoomScalePageLayoutView="130" workbookViewId="0">
      <selection activeCell="D15" sqref="D15"/>
    </sheetView>
  </sheetViews>
  <sheetFormatPr baseColWidth="10" defaultColWidth="9.109375" defaultRowHeight="13.2"/>
  <cols>
    <col min="1" max="1" width="4.77734375" customWidth="1"/>
    <col min="2" max="2" width="23.21875" customWidth="1"/>
    <col min="3" max="7" width="9.5546875" customWidth="1"/>
    <col min="8" max="256" width="11.21875" customWidth="1"/>
    <col min="257" max="1025" width="11.5546875"/>
  </cols>
  <sheetData>
    <row r="1" spans="1:256">
      <c r="A1" s="98" t="s">
        <v>60</v>
      </c>
    </row>
    <row r="2" spans="1:25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>
      <c r="A3" s="1"/>
      <c r="B3" s="2" t="s">
        <v>0</v>
      </c>
      <c r="C3" s="1" t="s">
        <v>1</v>
      </c>
      <c r="D3" s="1"/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>
      <c r="A4" s="1"/>
      <c r="B4" s="3" t="s">
        <v>3</v>
      </c>
      <c r="C4" s="4" t="s">
        <v>4</v>
      </c>
      <c r="D4" s="4" t="s">
        <v>5</v>
      </c>
      <c r="E4" s="4" t="s">
        <v>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>
      <c r="A5" s="1"/>
      <c r="B5" s="5" t="s">
        <v>61</v>
      </c>
      <c r="C5" s="5">
        <v>2.4</v>
      </c>
      <c r="D5" s="5">
        <v>1.05</v>
      </c>
      <c r="E5" s="5">
        <v>0.38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>
      <c r="A6" s="1"/>
      <c r="B6" s="6" t="s">
        <v>62</v>
      </c>
      <c r="C6" s="6">
        <v>3</v>
      </c>
      <c r="D6" s="6">
        <v>1.1200000000000001</v>
      </c>
      <c r="E6" s="6">
        <v>0.35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>
      <c r="A7" s="1"/>
      <c r="B7" s="7" t="s">
        <v>63</v>
      </c>
      <c r="C7" s="7">
        <v>3.6</v>
      </c>
      <c r="D7" s="7">
        <v>1.2</v>
      </c>
      <c r="E7" s="7">
        <v>0.32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>
      <c r="A8" s="1"/>
      <c r="B8" s="99"/>
      <c r="C8" s="99"/>
      <c r="D8" s="99"/>
      <c r="E8" s="9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>
      <c r="A9" s="1"/>
      <c r="B9" s="2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>
      <c r="A10" s="98" t="s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6">
      <c r="A12" s="9"/>
      <c r="B12" s="10"/>
      <c r="C12" s="100" t="s">
        <v>8</v>
      </c>
      <c r="D12" s="100"/>
      <c r="E12" s="100"/>
      <c r="F12" s="100"/>
      <c r="G12" s="10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ht="23.4">
      <c r="A13" s="101" t="s">
        <v>9</v>
      </c>
      <c r="B13" s="101"/>
      <c r="C13" s="24" t="s">
        <v>10</v>
      </c>
      <c r="D13" s="24" t="s">
        <v>11</v>
      </c>
      <c r="E13" s="24" t="s">
        <v>12</v>
      </c>
      <c r="F13" s="24" t="s">
        <v>13</v>
      </c>
      <c r="G13" s="25" t="s">
        <v>14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>
      <c r="A14" s="26" t="s">
        <v>3</v>
      </c>
      <c r="B14" s="27" t="s">
        <v>15</v>
      </c>
      <c r="C14" s="28">
        <v>2</v>
      </c>
      <c r="D14" s="28">
        <v>8</v>
      </c>
      <c r="E14" s="28">
        <v>32</v>
      </c>
      <c r="F14" s="28">
        <v>128</v>
      </c>
      <c r="G14" s="29">
        <v>512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ht="18.75" customHeight="1">
      <c r="A15" s="9" t="s">
        <v>16</v>
      </c>
      <c r="B15" s="10" t="s">
        <v>17</v>
      </c>
      <c r="C15" s="12">
        <v>6</v>
      </c>
      <c r="D15" s="12">
        <v>6</v>
      </c>
      <c r="E15" s="12">
        <v>6</v>
      </c>
      <c r="F15" s="12">
        <v>6</v>
      </c>
      <c r="G15" s="1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>
      <c r="A16" s="11"/>
      <c r="B16" s="14" t="s">
        <v>18</v>
      </c>
      <c r="C16" s="15">
        <v>16</v>
      </c>
      <c r="D16" s="15">
        <v>16</v>
      </c>
      <c r="E16" s="15">
        <v>16</v>
      </c>
      <c r="F16" s="15">
        <v>16</v>
      </c>
      <c r="G16" s="1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>
      <c r="A17" s="11"/>
      <c r="B17" s="14" t="s">
        <v>19</v>
      </c>
      <c r="C17" s="15">
        <f>C18+C19</f>
        <v>68</v>
      </c>
      <c r="D17" s="15">
        <f>D18+D19</f>
        <v>65</v>
      </c>
      <c r="E17" s="15">
        <f>E18+E19</f>
        <v>62</v>
      </c>
      <c r="F17" s="15">
        <f>F18+F19</f>
        <v>59</v>
      </c>
      <c r="G17" s="1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>
      <c r="A18" s="11"/>
      <c r="B18" s="14" t="s">
        <v>20</v>
      </c>
      <c r="C18" s="17">
        <v>26</v>
      </c>
      <c r="D18" s="17">
        <v>25</v>
      </c>
      <c r="E18" s="17">
        <v>24</v>
      </c>
      <c r="F18" s="17">
        <v>23</v>
      </c>
      <c r="G18" s="1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>
      <c r="A19" s="11"/>
      <c r="B19" s="14" t="s">
        <v>21</v>
      </c>
      <c r="C19" s="17">
        <v>42</v>
      </c>
      <c r="D19" s="17">
        <v>40</v>
      </c>
      <c r="E19" s="17">
        <v>38</v>
      </c>
      <c r="F19" s="17">
        <v>36</v>
      </c>
      <c r="G19" s="1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>
      <c r="A20" s="11"/>
      <c r="B20" s="14" t="s">
        <v>22</v>
      </c>
      <c r="C20" s="15">
        <v>16</v>
      </c>
      <c r="D20" s="15">
        <v>19</v>
      </c>
      <c r="E20" s="15">
        <v>22</v>
      </c>
      <c r="F20" s="15">
        <v>25</v>
      </c>
      <c r="G20" s="1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ht="18.75" customHeight="1">
      <c r="A21" s="11" t="s">
        <v>23</v>
      </c>
      <c r="B21" s="14" t="s">
        <v>17</v>
      </c>
      <c r="C21" s="17">
        <v>7</v>
      </c>
      <c r="D21" s="17">
        <v>7</v>
      </c>
      <c r="E21" s="17">
        <v>7</v>
      </c>
      <c r="F21" s="17">
        <v>7</v>
      </c>
      <c r="G21" s="18">
        <v>7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</row>
    <row r="22" spans="1:256">
      <c r="A22" s="11"/>
      <c r="B22" s="14" t="s">
        <v>18</v>
      </c>
      <c r="C22" s="15">
        <v>17</v>
      </c>
      <c r="D22" s="15">
        <v>17</v>
      </c>
      <c r="E22" s="15">
        <v>17</v>
      </c>
      <c r="F22" s="15">
        <v>17</v>
      </c>
      <c r="G22" s="16">
        <v>17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>
      <c r="A23" s="11"/>
      <c r="B23" s="14" t="s">
        <v>19</v>
      </c>
      <c r="C23" s="15">
        <f>C24+C25</f>
        <v>64</v>
      </c>
      <c r="D23" s="15">
        <f>D24+D25</f>
        <v>61</v>
      </c>
      <c r="E23" s="15">
        <f>E24+E25</f>
        <v>58</v>
      </c>
      <c r="F23" s="15">
        <f>F24+F25</f>
        <v>55</v>
      </c>
      <c r="G23" s="16">
        <f>G24+G25</f>
        <v>52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>
      <c r="A24" s="11"/>
      <c r="B24" s="14" t="s">
        <v>20</v>
      </c>
      <c r="C24" s="17">
        <v>27</v>
      </c>
      <c r="D24" s="17">
        <v>26</v>
      </c>
      <c r="E24" s="17">
        <v>25</v>
      </c>
      <c r="F24" s="17">
        <v>24</v>
      </c>
      <c r="G24" s="18">
        <v>23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>
      <c r="A25" s="11"/>
      <c r="B25" s="14" t="s">
        <v>21</v>
      </c>
      <c r="C25" s="17">
        <v>37</v>
      </c>
      <c r="D25" s="17">
        <v>35</v>
      </c>
      <c r="E25" s="17">
        <v>33</v>
      </c>
      <c r="F25" s="17">
        <v>31</v>
      </c>
      <c r="G25" s="18">
        <v>29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>
      <c r="A26" s="11"/>
      <c r="B26" s="14" t="s">
        <v>22</v>
      </c>
      <c r="C26" s="15">
        <v>19</v>
      </c>
      <c r="D26" s="15">
        <v>22</v>
      </c>
      <c r="E26" s="15">
        <v>25</v>
      </c>
      <c r="F26" s="15">
        <v>28</v>
      </c>
      <c r="G26" s="16">
        <v>31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ht="18.75" customHeight="1">
      <c r="A27" s="11" t="s">
        <v>24</v>
      </c>
      <c r="B27" s="14" t="s">
        <v>17</v>
      </c>
      <c r="C27" s="17">
        <v>8</v>
      </c>
      <c r="D27" s="17">
        <v>8</v>
      </c>
      <c r="E27" s="17">
        <v>8</v>
      </c>
      <c r="F27" s="17">
        <v>8</v>
      </c>
      <c r="G27" s="18">
        <v>8</v>
      </c>
      <c r="H27" s="14"/>
      <c r="I27" s="19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</row>
    <row r="28" spans="1:256">
      <c r="A28" s="11"/>
      <c r="B28" s="14" t="s">
        <v>18</v>
      </c>
      <c r="C28" s="15">
        <v>18</v>
      </c>
      <c r="D28" s="15">
        <v>18</v>
      </c>
      <c r="E28" s="15">
        <v>18</v>
      </c>
      <c r="F28" s="15">
        <v>18</v>
      </c>
      <c r="G28" s="16">
        <v>18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>
      <c r="A29" s="11"/>
      <c r="B29" s="14" t="s">
        <v>19</v>
      </c>
      <c r="C29" s="15">
        <f>C30+C31</f>
        <v>60</v>
      </c>
      <c r="D29" s="15">
        <f>D30+D31</f>
        <v>57</v>
      </c>
      <c r="E29" s="15">
        <f>E30+E31</f>
        <v>54</v>
      </c>
      <c r="F29" s="15">
        <f>F30+F31</f>
        <v>51</v>
      </c>
      <c r="G29" s="16">
        <f>G30+G31</f>
        <v>48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>
      <c r="A30" s="11"/>
      <c r="B30" s="14" t="s">
        <v>20</v>
      </c>
      <c r="C30" s="17">
        <v>28</v>
      </c>
      <c r="D30" s="17">
        <v>27</v>
      </c>
      <c r="E30" s="17">
        <v>26</v>
      </c>
      <c r="F30" s="17">
        <v>25</v>
      </c>
      <c r="G30" s="18">
        <v>24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95" customFormat="1">
      <c r="A31" s="11"/>
      <c r="B31" s="14" t="s">
        <v>21</v>
      </c>
      <c r="C31" s="17">
        <v>32</v>
      </c>
      <c r="D31" s="17">
        <v>30</v>
      </c>
      <c r="E31" s="17">
        <v>28</v>
      </c>
      <c r="F31" s="17">
        <v>26</v>
      </c>
      <c r="G31" s="18">
        <v>24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</row>
    <row r="32" spans="1:256" s="95" customFormat="1">
      <c r="A32" s="20"/>
      <c r="B32" s="21" t="s">
        <v>22</v>
      </c>
      <c r="C32" s="22">
        <v>22</v>
      </c>
      <c r="D32" s="22">
        <v>25</v>
      </c>
      <c r="E32" s="22">
        <v>28</v>
      </c>
      <c r="F32" s="22">
        <v>31</v>
      </c>
      <c r="G32" s="23">
        <v>34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</row>
    <row r="33" spans="1:256" s="95" customFormat="1">
      <c r="A33" s="96"/>
      <c r="B33" s="96"/>
      <c r="C33" s="97"/>
      <c r="D33" s="97"/>
      <c r="E33" s="97"/>
      <c r="F33" s="97"/>
      <c r="G33" s="97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</row>
    <row r="34" spans="1:256" s="95" customFormat="1" ht="23.4">
      <c r="A34" s="101" t="s">
        <v>25</v>
      </c>
      <c r="B34" s="101"/>
      <c r="C34" s="24" t="s">
        <v>10</v>
      </c>
      <c r="D34" s="24" t="s">
        <v>11</v>
      </c>
      <c r="E34" s="24" t="s">
        <v>12</v>
      </c>
      <c r="F34" s="24" t="s">
        <v>13</v>
      </c>
      <c r="G34" s="25" t="s">
        <v>14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</row>
    <row r="35" spans="1:256" s="95" customFormat="1">
      <c r="A35" s="26" t="s">
        <v>3</v>
      </c>
      <c r="B35" s="27" t="s">
        <v>15</v>
      </c>
      <c r="C35" s="28">
        <v>2</v>
      </c>
      <c r="D35" s="28">
        <v>8</v>
      </c>
      <c r="E35" s="28">
        <v>32</v>
      </c>
      <c r="F35" s="28">
        <v>128</v>
      </c>
      <c r="G35" s="29">
        <v>512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</row>
    <row r="36" spans="1:256" s="95" customFormat="1" ht="18.75" customHeight="1">
      <c r="A36" s="11" t="s">
        <v>16</v>
      </c>
      <c r="B36" s="14" t="s">
        <v>26</v>
      </c>
      <c r="C36" s="17">
        <v>10</v>
      </c>
      <c r="D36" s="17">
        <v>11</v>
      </c>
      <c r="E36" s="17">
        <v>12</v>
      </c>
      <c r="F36" s="17">
        <v>13</v>
      </c>
      <c r="G36" s="18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</row>
    <row r="37" spans="1:256">
      <c r="A37" s="11"/>
      <c r="B37" s="14" t="s">
        <v>18</v>
      </c>
      <c r="C37" s="15">
        <v>19</v>
      </c>
      <c r="D37" s="15">
        <v>19</v>
      </c>
      <c r="E37" s="15">
        <v>19</v>
      </c>
      <c r="F37" s="15">
        <v>19</v>
      </c>
      <c r="G37" s="1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>
      <c r="A38" s="11"/>
      <c r="B38" s="14" t="s">
        <v>19</v>
      </c>
      <c r="C38" s="15">
        <v>63</v>
      </c>
      <c r="D38" s="15">
        <v>59</v>
      </c>
      <c r="E38" s="15">
        <v>55</v>
      </c>
      <c r="F38" s="15">
        <v>51</v>
      </c>
      <c r="G38" s="1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>
      <c r="A39" s="11"/>
      <c r="B39" s="14" t="s">
        <v>22</v>
      </c>
      <c r="C39" s="15">
        <v>18</v>
      </c>
      <c r="D39" s="15">
        <v>22</v>
      </c>
      <c r="E39" s="15">
        <v>26</v>
      </c>
      <c r="F39" s="15">
        <v>30</v>
      </c>
      <c r="G39" s="1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ht="18.75" customHeight="1">
      <c r="A40" s="11" t="s">
        <v>23</v>
      </c>
      <c r="B40" s="14" t="s">
        <v>26</v>
      </c>
      <c r="C40" s="17">
        <v>16</v>
      </c>
      <c r="D40" s="17">
        <v>18</v>
      </c>
      <c r="E40" s="17">
        <v>20</v>
      </c>
      <c r="F40" s="17">
        <v>22</v>
      </c>
      <c r="G40" s="18">
        <v>24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</row>
    <row r="41" spans="1:256">
      <c r="A41" s="11"/>
      <c r="B41" s="14" t="s">
        <v>18</v>
      </c>
      <c r="C41" s="15">
        <v>24</v>
      </c>
      <c r="D41" s="15">
        <v>25</v>
      </c>
      <c r="E41" s="15">
        <v>26</v>
      </c>
      <c r="F41" s="15">
        <v>27</v>
      </c>
      <c r="G41" s="16">
        <v>28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>
      <c r="A42" s="11"/>
      <c r="B42" s="14" t="s">
        <v>19</v>
      </c>
      <c r="C42" s="15">
        <v>56</v>
      </c>
      <c r="D42" s="15">
        <v>52</v>
      </c>
      <c r="E42" s="15">
        <v>48</v>
      </c>
      <c r="F42" s="15">
        <v>44</v>
      </c>
      <c r="G42" s="16">
        <v>40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>
      <c r="A43" s="11"/>
      <c r="B43" s="14" t="s">
        <v>22</v>
      </c>
      <c r="C43" s="15">
        <v>20</v>
      </c>
      <c r="D43" s="15">
        <v>23</v>
      </c>
      <c r="E43" s="15">
        <v>26</v>
      </c>
      <c r="F43" s="15">
        <v>29</v>
      </c>
      <c r="G43" s="16">
        <v>32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ht="18.75" customHeight="1">
      <c r="A44" s="11" t="s">
        <v>24</v>
      </c>
      <c r="B44" s="14" t="s">
        <v>26</v>
      </c>
      <c r="C44" s="17">
        <v>24</v>
      </c>
      <c r="D44" s="17">
        <v>28</v>
      </c>
      <c r="E44" s="17">
        <v>32</v>
      </c>
      <c r="F44" s="17">
        <v>36</v>
      </c>
      <c r="G44" s="18">
        <v>40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</row>
    <row r="45" spans="1:256">
      <c r="A45" s="11"/>
      <c r="B45" s="14" t="s">
        <v>18</v>
      </c>
      <c r="C45" s="15">
        <v>30</v>
      </c>
      <c r="D45" s="15">
        <v>32</v>
      </c>
      <c r="E45" s="15">
        <v>34</v>
      </c>
      <c r="F45" s="15">
        <v>36</v>
      </c>
      <c r="G45" s="16">
        <v>38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11"/>
      <c r="B46" s="14" t="s">
        <v>19</v>
      </c>
      <c r="C46" s="15">
        <v>48</v>
      </c>
      <c r="D46" s="15">
        <v>44</v>
      </c>
      <c r="E46" s="15">
        <v>40</v>
      </c>
      <c r="F46" s="15">
        <v>36</v>
      </c>
      <c r="G46" s="16">
        <v>32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26"/>
      <c r="B47" s="30" t="s">
        <v>22</v>
      </c>
      <c r="C47" s="31">
        <v>22</v>
      </c>
      <c r="D47" s="31">
        <v>24</v>
      </c>
      <c r="E47" s="31">
        <v>26</v>
      </c>
      <c r="F47" s="31">
        <v>28</v>
      </c>
      <c r="G47" s="32">
        <v>30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</sheetData>
  <sheetProtection sheet="1" objects="1" scenarios="1"/>
  <mergeCells count="3">
    <mergeCell ref="C12:G12"/>
    <mergeCell ref="A13:B13"/>
    <mergeCell ref="A34:B34"/>
  </mergeCells>
  <printOptions horizontalCentered="1" verticalCentered="1"/>
  <pageMargins left="0.78740157480314965" right="0.78740157480314965" top="1.4173228346456694" bottom="1.4173228346456694" header="0.78740157480314965" footer="0.78740157480314965"/>
  <pageSetup paperSize="9" firstPageNumber="0" orientation="portrait" horizontalDpi="300" verticalDpi="300" r:id="rId1"/>
  <headerFooter>
    <oddHeader>&amp;L&amp;"Geneva,Gras"&amp;11R3.10 : Management des S.I.&amp;C
&amp;A&amp;R&amp;"Geneva,Italique"&amp;11Philippe Brutus</oddHeader>
    <oddFooter>&amp;L&amp;11Département Informatique de l'IUT Grand Ouest Normandie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showRowColHeaders="0" tabSelected="1" zoomScale="190" zoomScaleNormal="190" workbookViewId="0">
      <selection activeCell="B4" sqref="B4"/>
    </sheetView>
  </sheetViews>
  <sheetFormatPr baseColWidth="10" defaultColWidth="9.109375" defaultRowHeight="13.2"/>
  <cols>
    <col min="1" max="1" width="16.77734375" style="102" customWidth="1"/>
    <col min="2" max="7" width="10.5546875" style="102" customWidth="1"/>
    <col min="8" max="8" width="33.88671875" style="102" customWidth="1"/>
    <col min="9" max="9" width="15.5546875" style="102" customWidth="1"/>
    <col min="10" max="10" width="14.21875" style="102" customWidth="1"/>
    <col min="11" max="11" width="8.109375" style="102" customWidth="1"/>
    <col min="12" max="12" width="8.5546875" style="102" customWidth="1"/>
    <col min="13" max="13" width="15.5546875" style="102" customWidth="1"/>
    <col min="14" max="14" width="9.77734375" style="102" customWidth="1"/>
    <col min="15" max="256" width="11.21875" style="102" customWidth="1"/>
    <col min="257" max="1025" width="11.5546875" style="102"/>
    <col min="1026" max="16384" width="9.109375" style="102"/>
  </cols>
  <sheetData>
    <row r="1" spans="1:256" ht="36" customHeight="1">
      <c r="A1" s="33" t="s">
        <v>27</v>
      </c>
      <c r="B1" s="33" t="s">
        <v>28</v>
      </c>
      <c r="C1" s="33" t="s">
        <v>29</v>
      </c>
      <c r="D1" s="33" t="s">
        <v>30</v>
      </c>
      <c r="E1" s="33" t="s">
        <v>31</v>
      </c>
      <c r="F1" s="33" t="s">
        <v>32</v>
      </c>
      <c r="G1" s="33" t="s">
        <v>33</v>
      </c>
      <c r="H1" s="34"/>
      <c r="I1" s="63"/>
      <c r="J1" s="63"/>
      <c r="K1" s="63"/>
      <c r="L1" s="63"/>
      <c r="M1" s="63"/>
      <c r="N1" s="63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</row>
    <row r="2" spans="1:256" ht="13.2" customHeight="1">
      <c r="A2" s="35" t="s">
        <v>34</v>
      </c>
      <c r="B2" s="36">
        <v>1</v>
      </c>
      <c r="C2" s="37">
        <f>B2/B$5</f>
        <v>0.33333333333333331</v>
      </c>
      <c r="D2" s="38">
        <f>2.4*B2^1.05</f>
        <v>2.4</v>
      </c>
      <c r="E2" s="39">
        <f>2.5*D2^0.38</f>
        <v>3.4867457524854744</v>
      </c>
      <c r="F2" s="40">
        <f>C2*2.4*$B$5^1.05</f>
        <v>2.5355215405188911</v>
      </c>
      <c r="G2" s="41">
        <f>2.5*F2^0.38</f>
        <v>3.5602917208059743</v>
      </c>
      <c r="H2" s="63"/>
      <c r="I2" s="63" t="s">
        <v>35</v>
      </c>
      <c r="J2" s="42">
        <f>LOOKUP($B$5,$I$8:$I$12,$I$8:$I$12)</f>
        <v>2</v>
      </c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</row>
    <row r="3" spans="1:256">
      <c r="A3" s="35" t="s">
        <v>36</v>
      </c>
      <c r="B3" s="36">
        <v>1</v>
      </c>
      <c r="C3" s="37">
        <f>B3/B$5</f>
        <v>0.33333333333333331</v>
      </c>
      <c r="D3" s="43">
        <f>3*B3^1.12</f>
        <v>3</v>
      </c>
      <c r="E3" s="44">
        <f>2.5*D3^0.35</f>
        <v>3.6722517615001844</v>
      </c>
      <c r="F3" s="40">
        <f>C3*3*$B$5^1.12</f>
        <v>3.4227549348442601</v>
      </c>
      <c r="G3" s="41">
        <f>2.5*F3^0.35</f>
        <v>3.8456658042952845</v>
      </c>
      <c r="H3" s="63"/>
      <c r="I3" s="63" t="s">
        <v>37</v>
      </c>
      <c r="J3" s="42">
        <f>INDEX($I$8:$I$12,LOOKUP($B$5,$I$8:$I$12,$K$8:$K$12)+1)</f>
        <v>8</v>
      </c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</row>
    <row r="4" spans="1:256">
      <c r="A4" s="45" t="s">
        <v>38</v>
      </c>
      <c r="B4" s="46">
        <v>1</v>
      </c>
      <c r="C4" s="47">
        <f>B4/B$5</f>
        <v>0.33333333333333331</v>
      </c>
      <c r="D4" s="48">
        <f>3.6*B4^1.2</f>
        <v>3.6</v>
      </c>
      <c r="E4" s="49">
        <f>2.5*D4^0.32</f>
        <v>3.7666633722353353</v>
      </c>
      <c r="F4" s="50">
        <f>C4*3.6*$B$5^1.2</f>
        <v>4.4846313826158628</v>
      </c>
      <c r="G4" s="51">
        <f>2.5*F4^0.32</f>
        <v>4.041034602424717</v>
      </c>
      <c r="H4" s="63"/>
      <c r="I4" s="63" t="s">
        <v>39</v>
      </c>
      <c r="J4" s="42">
        <f>IF(ISERROR(J3),J2,IF(J3-B5&lt;B5-J2,J3,J2))</f>
        <v>2</v>
      </c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</row>
    <row r="5" spans="1:256">
      <c r="A5" s="52" t="s">
        <v>40</v>
      </c>
      <c r="B5" s="53">
        <f>SUM(B2:B4)</f>
        <v>3</v>
      </c>
      <c r="C5" s="54"/>
      <c r="D5" s="55">
        <f>SUM(D2:D4)</f>
        <v>9</v>
      </c>
      <c r="E5" s="56">
        <f>MAX(E2:E4)</f>
        <v>3.7666633722353353</v>
      </c>
      <c r="F5" s="57">
        <f>SUM(F2:F4)</f>
        <v>10.442907857979014</v>
      </c>
      <c r="G5" s="58">
        <f>2.5*F5^(C2*0.38+C3*0.35+C4*0.32)</f>
        <v>5.6823439099777362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</row>
    <row r="6" spans="1:256" ht="9.6" customHeight="1">
      <c r="A6" s="63"/>
      <c r="B6" s="63"/>
      <c r="C6" s="63"/>
      <c r="D6" s="59"/>
      <c r="E6" s="60"/>
      <c r="F6" s="61"/>
      <c r="G6" s="62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</row>
    <row r="7" spans="1:256" ht="25.5" customHeight="1">
      <c r="A7" s="63"/>
      <c r="B7" s="63"/>
      <c r="C7" s="33" t="s">
        <v>9</v>
      </c>
      <c r="D7" s="33" t="s">
        <v>41</v>
      </c>
      <c r="E7" s="33" t="s">
        <v>42</v>
      </c>
      <c r="F7" s="33" t="s">
        <v>43</v>
      </c>
      <c r="G7" s="33" t="s">
        <v>44</v>
      </c>
      <c r="H7" s="63"/>
      <c r="I7" s="34" t="s">
        <v>45</v>
      </c>
      <c r="J7" s="34" t="s">
        <v>28</v>
      </c>
      <c r="K7" s="34" t="s">
        <v>46</v>
      </c>
      <c r="L7" s="63" t="s">
        <v>47</v>
      </c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</row>
    <row r="8" spans="1:256">
      <c r="A8" s="64" t="s">
        <v>48</v>
      </c>
      <c r="B8" s="65"/>
      <c r="C8" s="66">
        <f>INDEX(CoCoMo!$C$15:$G$32,1,$J$15)*$C$2+INDEX(CoCoMo!$C$15:$G$32,7,$J$15)*$C$3+INDEX(CoCoMo!$C$15:$G$32,13,$J$15)*$C$4</f>
        <v>7</v>
      </c>
      <c r="D8" s="67">
        <f t="shared" ref="D8:D13" si="0">$F$5*C8/$D$14</f>
        <v>0.73100355005853102</v>
      </c>
      <c r="E8" s="66">
        <f>INDEX(CoCoMo!$C$36:$G$47,1,$J$15)*$C$2+INDEX(CoCoMo!$C$36:$G$47,5,$J$15)*$C$3+INDEX(CoCoMo!$C$36:$G$47,9,$J$15)*$C$4</f>
        <v>16.666666666666664</v>
      </c>
      <c r="F8" s="68">
        <f>$G$5*E8/$F$14</f>
        <v>0.94705731832962259</v>
      </c>
      <c r="G8" s="69">
        <f>ROUND(D8/F8,1)</f>
        <v>0.8</v>
      </c>
      <c r="H8" s="63"/>
      <c r="I8" s="70">
        <v>2</v>
      </c>
      <c r="J8" s="70">
        <v>0</v>
      </c>
      <c r="K8" s="63">
        <v>1</v>
      </c>
      <c r="L8" s="63" t="s">
        <v>49</v>
      </c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</row>
    <row r="9" spans="1:256">
      <c r="A9" s="71" t="s">
        <v>18</v>
      </c>
      <c r="B9" s="72"/>
      <c r="C9" s="73">
        <f>INDEX(CoCoMo!$C$15:$G$32,2,$J$15)*$C$2+INDEX(CoCoMo!$C$15:$G$32,8,$J$15)*$C$3+INDEX(CoCoMo!$C$15:$G$32,14,$J$15)*$C$4</f>
        <v>17</v>
      </c>
      <c r="D9" s="74">
        <f t="shared" si="0"/>
        <v>1.7752943358564324</v>
      </c>
      <c r="E9" s="73">
        <f>INDEX(CoCoMo!$C$36:$G$47,2,$J$15)*$C$2+INDEX(CoCoMo!$C$36:$G$47,6,$J$15)*$C$3+INDEX(CoCoMo!$C$36:$G$47,10,$J$15)*$C$4</f>
        <v>24.333333333333332</v>
      </c>
      <c r="F9" s="75">
        <f>$G$5*E9/$F$14</f>
        <v>1.3827036847612491</v>
      </c>
      <c r="G9" s="76">
        <f>ROUND(D9/F9,1)</f>
        <v>1.3</v>
      </c>
      <c r="H9" s="63"/>
      <c r="I9" s="70">
        <v>8</v>
      </c>
      <c r="J9" s="70">
        <f>(I8+I9)/2</f>
        <v>5</v>
      </c>
      <c r="K9" s="63">
        <v>2</v>
      </c>
      <c r="L9" s="63" t="s">
        <v>50</v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  <c r="IV9" s="63"/>
    </row>
    <row r="10" spans="1:256" ht="12.75" customHeight="1">
      <c r="A10" s="71" t="s">
        <v>19</v>
      </c>
      <c r="B10" s="72"/>
      <c r="C10" s="73">
        <f>INDEX(CoCoMo!$C$15:$G$32,3,$J$15)*$C$2+INDEX(CoCoMo!$C$15:$G$32,9,$J$15)*$C$3+INDEX(CoCoMo!$C$15:$G$32,15,$J$15)*$C$4</f>
        <v>64</v>
      </c>
      <c r="D10" s="74">
        <f t="shared" si="0"/>
        <v>6.683461029106569</v>
      </c>
      <c r="E10" s="73">
        <f>INDEX(CoCoMo!$C$36:$G$47,3,$J$15)*$C$2+INDEX(CoCoMo!$C$36:$G$47,7,$J$15)*$C$3+INDEX(CoCoMo!$C$36:$G$47,11,$J$15)*$C$4</f>
        <v>55.666666666666664</v>
      </c>
      <c r="F10" s="75">
        <f>$G$5*E10/$F$14</f>
        <v>3.1631714432209397</v>
      </c>
      <c r="G10" s="76">
        <f>ROUND(D10/F10,1)</f>
        <v>2.1</v>
      </c>
      <c r="H10" s="63"/>
      <c r="I10" s="70">
        <v>32</v>
      </c>
      <c r="J10" s="70">
        <f>(I9+I10)/2</f>
        <v>20</v>
      </c>
      <c r="K10" s="63">
        <v>3</v>
      </c>
      <c r="L10" s="63" t="s">
        <v>51</v>
      </c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</row>
    <row r="11" spans="1:256" ht="12.75" customHeight="1">
      <c r="A11" s="71" t="s">
        <v>52</v>
      </c>
      <c r="B11" s="72"/>
      <c r="C11" s="77">
        <f>INDEX(CoCoMo!$C$15:$G$32,4,$J$15)*$C$2+INDEX(CoCoMo!$C$15:$G$32,10,$J$15)*$C$3+INDEX(CoCoMo!$C$15:$G$32,16,$J$15)*$C$4</f>
        <v>26.999999999999996</v>
      </c>
      <c r="D11" s="40">
        <f t="shared" si="0"/>
        <v>2.8195851216543333</v>
      </c>
      <c r="E11" s="77"/>
      <c r="F11" s="78"/>
      <c r="G11" s="35"/>
      <c r="H11" s="63"/>
      <c r="I11" s="70">
        <v>128</v>
      </c>
      <c r="J11" s="70">
        <f>(I10+I11)/2</f>
        <v>80</v>
      </c>
      <c r="K11" s="63">
        <v>4</v>
      </c>
      <c r="L11" s="63" t="s">
        <v>53</v>
      </c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</row>
    <row r="12" spans="1:256">
      <c r="A12" s="71" t="s">
        <v>54</v>
      </c>
      <c r="B12" s="72"/>
      <c r="C12" s="77">
        <f>INDEX(CoCoMo!$C$15:$G$32,5,$J$15)*$C$2+INDEX(CoCoMo!$C$15:$G$32,11,$J$15)*$C$3+INDEX(CoCoMo!$C$15:$G$32,17,$J$15)*$C$4</f>
        <v>37</v>
      </c>
      <c r="D12" s="40">
        <f t="shared" si="0"/>
        <v>3.8638759074522353</v>
      </c>
      <c r="E12" s="77"/>
      <c r="F12" s="78"/>
      <c r="G12" s="35"/>
      <c r="H12" s="63"/>
      <c r="I12" s="70">
        <v>512</v>
      </c>
      <c r="J12" s="70">
        <f>(I11+I12)/2</f>
        <v>320</v>
      </c>
      <c r="K12" s="63">
        <v>5</v>
      </c>
      <c r="L12" s="63" t="s">
        <v>55</v>
      </c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</row>
    <row r="13" spans="1:256">
      <c r="A13" s="79" t="s">
        <v>22</v>
      </c>
      <c r="B13" s="80"/>
      <c r="C13" s="81">
        <f>INDEX(CoCoMo!$C$15:$G$32,6,$J$15)*$C$2+INDEX(CoCoMo!$C$15:$G$32,12,$J$15)*$C$3+INDEX(CoCoMo!$C$15:$G$32,18,$J$15)*$C$4</f>
        <v>19</v>
      </c>
      <c r="D13" s="82">
        <f t="shared" si="0"/>
        <v>1.9841524930160128</v>
      </c>
      <c r="E13" s="81">
        <f>INDEX(CoCoMo!$C$36:$G$47,4,$J$15)*$C$2+INDEX(CoCoMo!$C$36:$G$47,8,$J$15)*$C$3+INDEX(CoCoMo!$C$36:$G$47,12,$J$15)*$C$4</f>
        <v>20</v>
      </c>
      <c r="F13" s="83">
        <f>$G$5*E13/$F$14</f>
        <v>1.1364687819955472</v>
      </c>
      <c r="G13" s="84">
        <f>ROUND(D13/F13,1)</f>
        <v>1.7</v>
      </c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</row>
    <row r="14" spans="1:256">
      <c r="A14" s="63"/>
      <c r="B14" s="63"/>
      <c r="C14" s="85"/>
      <c r="D14" s="86">
        <v>100</v>
      </c>
      <c r="E14" s="85"/>
      <c r="F14" s="86">
        <v>100</v>
      </c>
      <c r="G14" s="63"/>
      <c r="H14" s="63"/>
      <c r="I14" s="63" t="s">
        <v>56</v>
      </c>
      <c r="J14" s="63" t="str">
        <f>K7</f>
        <v>Col. Coef.</v>
      </c>
      <c r="K14" s="63" t="s">
        <v>47</v>
      </c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</row>
    <row r="15" spans="1:256">
      <c r="A15" s="63" t="s">
        <v>57</v>
      </c>
      <c r="B15" s="63"/>
      <c r="C15" s="63"/>
      <c r="D15" s="87">
        <f>SUM(D8:D10,D13)</f>
        <v>11.173911408037544</v>
      </c>
      <c r="E15" s="63"/>
      <c r="F15" s="88">
        <f>SUM(F8:F13)</f>
        <v>6.6294012283073585</v>
      </c>
      <c r="G15" s="63"/>
      <c r="H15" s="63"/>
      <c r="I15" s="42">
        <f>B5</f>
        <v>3</v>
      </c>
      <c r="J15" s="63">
        <f>LOOKUP(I15,J8:J12,K8:K12)</f>
        <v>1</v>
      </c>
      <c r="K15" s="63" t="str">
        <f>LOOKUP(I15,J8:J12,L8:L12)</f>
        <v>Petit</v>
      </c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  <c r="IU15" s="63"/>
      <c r="IV15" s="63"/>
    </row>
    <row r="16" spans="1:256">
      <c r="A16" s="89" t="s">
        <v>58</v>
      </c>
      <c r="B16" s="89"/>
      <c r="C16" s="89"/>
      <c r="D16" s="90">
        <f>D8</f>
        <v>0.73100355005853102</v>
      </c>
      <c r="E16" s="89"/>
      <c r="F16" s="91">
        <f>F8</f>
        <v>0.94705731832962259</v>
      </c>
      <c r="G16" s="89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  <c r="IV16" s="63"/>
    </row>
    <row r="17" spans="1:256">
      <c r="A17" s="92" t="s">
        <v>59</v>
      </c>
      <c r="B17" s="92"/>
      <c r="C17" s="89"/>
      <c r="D17" s="93">
        <f>D15-D16</f>
        <v>10.442907857979012</v>
      </c>
      <c r="E17" s="89"/>
      <c r="F17" s="94">
        <f>F15-F16</f>
        <v>5.6823439099777362</v>
      </c>
      <c r="G17" s="89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</row>
  </sheetData>
  <sheetProtection sheet="1" objects="1" scenarios="1"/>
  <pageMargins left="0.62986111111111098" right="0.62986111111111098" top="1.61527777777778" bottom="0.98402777777777795" header="0.98402777777777795" footer="0.51180555555555496"/>
  <pageSetup firstPageNumber="0" orientation="portrait" horizontalDpi="300" verticalDpi="300"/>
  <headerFooter>
    <oddHeader>&amp;CSynthèse simplifiée COCOMO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CoCoMo</vt:lpstr>
      <vt:lpstr>Synthèse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BRUTUP</dc:creator>
  <dc:description/>
  <cp:lastModifiedBy>Philippe Brutus</cp:lastModifiedBy>
  <cp:revision>18</cp:revision>
  <cp:lastPrinted>2024-02-17T11:18:23Z</cp:lastPrinted>
  <dcterms:created xsi:type="dcterms:W3CDTF">2002-10-01T15:46:24Z</dcterms:created>
  <dcterms:modified xsi:type="dcterms:W3CDTF">2024-09-22T13:42:43Z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